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<sst xmlns="http://schemas.openxmlformats.org/spreadsheetml/2006/main" count="166" uniqueCount="119">
  <si>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</si>
  <si>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</si>
  <si>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</si>
  <si>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</si>
  <si>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</si>
  <si>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</si>
  <si>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</si>
  <si>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</si>
  <si>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</si>
  <si>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</si>
  <si>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</si>
  <si>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</si>
  <si>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</si>
  <si>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</si>
  <si>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</si>
  <si>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</si>
  <si>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</si>
  <si>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</si>
  <si>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</si>
  <si>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</si>
  <si>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</si>
  <si>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</si>
  <si>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</si>
  <si>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</si>
  <si>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</si>
  <si>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</si>
  <si>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</si>
  <si>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</si>
  <si>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</si>
  <si>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</si>
  <si>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</si>
  <si>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</si>
  <si>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</si>
  <si>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</si>
  <si>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</si>
  <si>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</si>
  <si>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</si>
  <si>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</si>
  <si>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</si>
  <si>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</si>
  <si>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</si>
  <si>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</si>
  <si>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</si>
  <si>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</si>
  <si>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</si>
  <si>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</si>
  <si>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</si>
  <si>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</si>
  <si>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</si>
  <si>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</si>
  <si>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</si>
  <si>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</si>
  <si>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</si>
  <si>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</si>
  <si>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</si>
  <si>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</si>
  <si>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</si>
  <si>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</si>
  <si>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</si>
  <si>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</si>
  <si>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</si>
  <si>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</si>
  <si>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</si>
  <si>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</si>
  <si>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</si>
  <si>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</si>
  <si>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</si>
  <si>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</si>
  <si>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</si>
  <si>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</si>
  <si>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</si>
  <si>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</si>
  <si>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</si>
  <si>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</si>
  <si>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</si>
  <si>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</si>
  <si>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</si>
  <si>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</si>
  <si>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</si>
  <si>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</si>
  <si>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</si>
  <si>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</si>
  <si>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</si>
  <si>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</si>
  <si>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</si>
  <si>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</si>
  <si>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</si>
  <si>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</si>
  <si>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</si>
  <si>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</si>
  <si>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</si>
  <si>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</si>
  <si>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</si>
  <si>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</si>
  <si>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</si>
  <si>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</si>
  <si>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</si>
  <si>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</si>
  <si>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</si>
  <si>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</si>
  <si>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</si>
  <si>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</si>
  <si>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</si>
  <si>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</si>
  <si>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</si>
  <si>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</si>
  <si>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</si>
  <si>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</si>
  <si>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</si>
  <si>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</si>
  <si>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</si>
  <si>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</si>
  <si>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</si>
  <si>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</si>
  <si>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</si>
  <si>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Аналіз використання коштів міського бюджету за 2015 рік станом на 02.06.2015 року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</si>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</sst>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48744.1</c:v>
                </c:pt>
                <c:pt idx="1">
                  <c:v>39638</c:v>
                </c:pt>
                <c:pt idx="2">
                  <c:v>2575.1</c:v>
                </c:pt>
                <c:pt idx="3">
                  <c:v>6530.999999999998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16613.699999999993</c:v>
                </c:pt>
                <c:pt idx="1">
                  <c:v>14273.000000000002</c:v>
                </c:pt>
                <c:pt idx="2">
                  <c:v>589.3999999999999</c:v>
                </c:pt>
                <c:pt idx="3">
                  <c:v>1751.2999999999918</c:v>
                </c:pt>
              </c:numCache>
            </c:numRef>
          </c:val>
          <c:shape val="box"/>
        </c:ser>
        <c:shape val="box"/>
        <c:axId val="12996024"/>
        <c:axId val="49855353"/>
      </c:bar3DChart>
      <c:catAx>
        <c:axId val="1299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55353"/>
        <c:crosses val="autoZero"/>
        <c:auto val="1"/>
        <c:lblOffset val="100"/>
        <c:tickLblSkip val="1"/>
        <c:noMultiLvlLbl val="0"/>
      </c:catAx>
      <c:valAx>
        <c:axId val="49855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960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339510.69999999995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286.2</c:v>
                </c:pt>
                <c:pt idx="7">
                  <c:v>3699.099999999952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125062.50000000001</c:v>
                </c:pt>
                <c:pt idx="1">
                  <c:v>59640.69999999998</c:v>
                </c:pt>
                <c:pt idx="2">
                  <c:v>87029.8</c:v>
                </c:pt>
                <c:pt idx="3">
                  <c:v>2</c:v>
                </c:pt>
                <c:pt idx="4">
                  <c:v>7146.299999999999</c:v>
                </c:pt>
                <c:pt idx="5">
                  <c:v>29597.1</c:v>
                </c:pt>
                <c:pt idx="6">
                  <c:v>52.8</c:v>
                </c:pt>
                <c:pt idx="7">
                  <c:v>1234.5000000000139</c:v>
                </c:pt>
              </c:numCache>
            </c:numRef>
          </c:val>
          <c:shape val="box"/>
        </c:ser>
        <c:shape val="box"/>
        <c:axId val="46044994"/>
        <c:axId val="11751763"/>
      </c:bar3DChart>
      <c:catAx>
        <c:axId val="4604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51763"/>
        <c:crosses val="autoZero"/>
        <c:auto val="1"/>
        <c:lblOffset val="100"/>
        <c:tickLblSkip val="1"/>
        <c:noMultiLvlLbl val="0"/>
      </c:catAx>
      <c:valAx>
        <c:axId val="11751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449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226686.90000000002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15024.300000000027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77078.2</c:v>
                </c:pt>
                <c:pt idx="1">
                  <c:v>69872.09999999999</c:v>
                </c:pt>
                <c:pt idx="2">
                  <c:v>59747.99999999998</c:v>
                </c:pt>
                <c:pt idx="3">
                  <c:v>2486.5999999999995</c:v>
                </c:pt>
                <c:pt idx="4">
                  <c:v>1084.2</c:v>
                </c:pt>
                <c:pt idx="5">
                  <c:v>9077.2</c:v>
                </c:pt>
                <c:pt idx="6">
                  <c:v>515.5999999999999</c:v>
                </c:pt>
                <c:pt idx="7">
                  <c:v>4166.600000000019</c:v>
                </c:pt>
              </c:numCache>
            </c:numRef>
          </c:val>
          <c:shape val="box"/>
        </c:ser>
        <c:shape val="box"/>
        <c:axId val="38657004"/>
        <c:axId val="12368717"/>
      </c:bar3DChart>
      <c:catAx>
        <c:axId val="3865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68717"/>
        <c:crosses val="autoZero"/>
        <c:auto val="1"/>
        <c:lblOffset val="100"/>
        <c:tickLblSkip val="1"/>
        <c:noMultiLvlLbl val="0"/>
      </c:catAx>
      <c:valAx>
        <c:axId val="12368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570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42246.299999999996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15838.699999999995</c:v>
                </c:pt>
                <c:pt idx="1">
                  <c:v>10734.200000000003</c:v>
                </c:pt>
                <c:pt idx="2">
                  <c:v>1216.9</c:v>
                </c:pt>
                <c:pt idx="3">
                  <c:v>170.8</c:v>
                </c:pt>
                <c:pt idx="4">
                  <c:v>17</c:v>
                </c:pt>
                <c:pt idx="5">
                  <c:v>3699.7999999999925</c:v>
                </c:pt>
              </c:numCache>
            </c:numRef>
          </c:val>
          <c:shape val="box"/>
        </c:ser>
        <c:shape val="box"/>
        <c:axId val="44209590"/>
        <c:axId val="62341991"/>
      </c:bar3DChart>
      <c:catAx>
        <c:axId val="44209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41991"/>
        <c:crosses val="autoZero"/>
        <c:auto val="1"/>
        <c:lblOffset val="100"/>
        <c:tickLblSkip val="1"/>
        <c:noMultiLvlLbl val="0"/>
      </c:catAx>
      <c:valAx>
        <c:axId val="62341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095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1575"/>
          <c:y val="0.029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4862.9</c:v>
                </c:pt>
                <c:pt idx="1">
                  <c:v>2933.8999999999996</c:v>
                </c:pt>
                <c:pt idx="3">
                  <c:v>61.2</c:v>
                </c:pt>
                <c:pt idx="4">
                  <c:v>377.9000000000001</c:v>
                </c:pt>
                <c:pt idx="5">
                  <c:v>1489.8999999999999</c:v>
                </c:pt>
              </c:numCache>
            </c:numRef>
          </c:val>
          <c:shape val="box"/>
        </c:ser>
        <c:shape val="box"/>
        <c:axId val="24207008"/>
        <c:axId val="16536481"/>
      </c:bar3DChart>
      <c:catAx>
        <c:axId val="24207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36481"/>
        <c:crosses val="autoZero"/>
        <c:auto val="1"/>
        <c:lblOffset val="100"/>
        <c:tickLblSkip val="2"/>
        <c:noMultiLvlLbl val="0"/>
      </c:catAx>
      <c:valAx>
        <c:axId val="16536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070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5525</c:v>
                </c:pt>
                <c:pt idx="1">
                  <c:v>1426.1</c:v>
                </c:pt>
                <c:pt idx="2">
                  <c:v>464.8</c:v>
                </c:pt>
                <c:pt idx="3">
                  <c:v>3128.9</c:v>
                </c:pt>
                <c:pt idx="4">
                  <c:v>505.19999999999936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760.0999999999998</c:v>
                </c:pt>
                <c:pt idx="1">
                  <c:v>481.4</c:v>
                </c:pt>
                <c:pt idx="2">
                  <c:v>228.9</c:v>
                </c:pt>
                <c:pt idx="4">
                  <c:v>49.79999999999981</c:v>
                </c:pt>
              </c:numCache>
            </c:numRef>
          </c:val>
          <c:shape val="box"/>
        </c:ser>
        <c:shape val="box"/>
        <c:axId val="14610602"/>
        <c:axId val="64386555"/>
      </c:bar3DChart>
      <c:catAx>
        <c:axId val="1461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86555"/>
        <c:crosses val="autoZero"/>
        <c:auto val="1"/>
        <c:lblOffset val="100"/>
        <c:tickLblSkip val="1"/>
        <c:noMultiLvlLbl val="0"/>
      </c:catAx>
      <c:valAx>
        <c:axId val="64386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106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22644</c:v>
                </c:pt>
              </c:numCache>
            </c:numRef>
          </c:val>
          <c:shape val="box"/>
        </c:ser>
        <c:shape val="box"/>
        <c:axId val="42608084"/>
        <c:axId val="47928437"/>
      </c:bar3DChart>
      <c:catAx>
        <c:axId val="4260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928437"/>
        <c:crosses val="autoZero"/>
        <c:auto val="1"/>
        <c:lblOffset val="100"/>
        <c:tickLblSkip val="1"/>
        <c:noMultiLvlLbl val="0"/>
      </c:catAx>
      <c:valAx>
        <c:axId val="47928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080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339510.69999999995</c:v>
                </c:pt>
                <c:pt idx="1">
                  <c:v>226686.90000000002</c:v>
                </c:pt>
                <c:pt idx="2">
                  <c:v>42246.299999999996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48744.1</c:v>
                </c:pt>
                <c:pt idx="6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125062.50000000001</c:v>
                </c:pt>
                <c:pt idx="1">
                  <c:v>77078.2</c:v>
                </c:pt>
                <c:pt idx="2">
                  <c:v>15838.699999999995</c:v>
                </c:pt>
                <c:pt idx="3">
                  <c:v>4862.9</c:v>
                </c:pt>
                <c:pt idx="4">
                  <c:v>760.0999999999998</c:v>
                </c:pt>
                <c:pt idx="5">
                  <c:v>16613.699999999993</c:v>
                </c:pt>
                <c:pt idx="6">
                  <c:v>22644</c:v>
                </c:pt>
              </c:numCache>
            </c:numRef>
          </c:val>
          <c:shape val="box"/>
        </c:ser>
        <c:shape val="box"/>
        <c:axId val="28702750"/>
        <c:axId val="56998159"/>
      </c:bar3DChart>
      <c:catAx>
        <c:axId val="28702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98159"/>
        <c:crosses val="autoZero"/>
        <c:auto val="1"/>
        <c:lblOffset val="100"/>
        <c:tickLblSkip val="1"/>
        <c:noMultiLvlLbl val="0"/>
      </c:catAx>
      <c:valAx>
        <c:axId val="56998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27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99330.7</c:v>
                </c:pt>
                <c:pt idx="2">
                  <c:v>25686.8</c:v>
                </c:pt>
                <c:pt idx="3">
                  <c:v>14593.8</c:v>
                </c:pt>
                <c:pt idx="4">
                  <c:v>12618.400000000001</c:v>
                </c:pt>
                <c:pt idx="5">
                  <c:v>236617.4000000001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177599.8</c:v>
                </c:pt>
                <c:pt idx="1">
                  <c:v>43387.50000000001</c:v>
                </c:pt>
                <c:pt idx="2">
                  <c:v>8313.1</c:v>
                </c:pt>
                <c:pt idx="3">
                  <c:v>2284.7999999999997</c:v>
                </c:pt>
                <c:pt idx="4">
                  <c:v>2488.8999999999996</c:v>
                </c:pt>
                <c:pt idx="5">
                  <c:v>93751.29999999997</c:v>
                </c:pt>
              </c:numCache>
            </c:numRef>
          </c:val>
          <c:shape val="box"/>
        </c:ser>
        <c:shape val="box"/>
        <c:axId val="43221384"/>
        <c:axId val="53448137"/>
      </c:bar3DChart>
      <c:catAx>
        <c:axId val="4322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48137"/>
        <c:crosses val="autoZero"/>
        <c:auto val="1"/>
        <c:lblOffset val="100"/>
        <c:tickLblSkip val="1"/>
        <c:noMultiLvlLbl val="0"/>
      </c:catAx>
      <c:valAx>
        <c:axId val="53448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13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115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116</v>
      </c>
      <c r="C3" s="138" t="s">
        <v>104</v>
      </c>
      <c r="D3" s="138" t="s">
        <v>29</v>
      </c>
      <c r="E3" s="138" t="s">
        <v>28</v>
      </c>
      <c r="F3" s="138" t="s">
        <v>117</v>
      </c>
      <c r="G3" s="138" t="s">
        <v>105</v>
      </c>
      <c r="H3" s="138" t="s">
        <v>118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189869.7</v>
      </c>
      <c r="C6" s="53">
        <f>336144.8+1363.8+2002.1</f>
        <v>339510.69999999995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</f>
        <v>144693.80000000005</v>
      </c>
      <c r="E6" s="3">
        <f>D6/D144*100</f>
        <v>39.88137057775341</v>
      </c>
      <c r="F6" s="3">
        <f>D6/B6*100</f>
        <v>76.20689346430738</v>
      </c>
      <c r="G6" s="3">
        <f aca="true" t="shared" si="0" ref="G6:G43">D6/C6*100</f>
        <v>42.61833279481326</v>
      </c>
      <c r="H6" s="3">
        <f>B6-D6</f>
        <v>45175.899999999965</v>
      </c>
      <c r="I6" s="3">
        <f aca="true" t="shared" si="1" ref="I6:I43">C6-D6</f>
        <v>194816.8999999999</v>
      </c>
    </row>
    <row r="7" spans="1:9" s="44" customFormat="1" ht="18.75">
      <c r="A7" s="118" t="s">
        <v>107</v>
      </c>
      <c r="B7" s="109">
        <v>95484.3</v>
      </c>
      <c r="C7" s="106">
        <v>173936.4</v>
      </c>
      <c r="D7" s="119">
        <f>17278.1+34.8+43.3+5046.6+1441.7+293+463.5+4876.3+308.3+631.3+5138.7+0.1+2292.2+271.4+1820.7+4384.3+517.1+3867.2+3165+1+5.9+6161.5+1598.7+8.6+1158.9+4225.2+4271.2+0.1</f>
        <v>69304.69999999998</v>
      </c>
      <c r="E7" s="107">
        <f>D7/D6*100</f>
        <v>47.897491115721586</v>
      </c>
      <c r="F7" s="107">
        <f>D7/B7*100</f>
        <v>72.582298870076</v>
      </c>
      <c r="G7" s="107">
        <f>D7/C7*100</f>
        <v>39.8448513364655</v>
      </c>
      <c r="H7" s="107">
        <f>B7-D7</f>
        <v>26179.60000000002</v>
      </c>
      <c r="I7" s="107">
        <f t="shared" si="1"/>
        <v>104631.70000000001</v>
      </c>
    </row>
    <row r="8" spans="1:9" ht="18">
      <c r="A8" s="29" t="s">
        <v>3</v>
      </c>
      <c r="B8" s="49">
        <v>142563.7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</f>
        <v>104605.9</v>
      </c>
      <c r="E8" s="1">
        <f>D8/D6*100</f>
        <v>72.29466639206376</v>
      </c>
      <c r="F8" s="1">
        <f>D8/B8*100</f>
        <v>73.37484927790173</v>
      </c>
      <c r="G8" s="1">
        <f t="shared" si="0"/>
        <v>41.51609332577142</v>
      </c>
      <c r="H8" s="1">
        <f>B8-D8</f>
        <v>37957.80000000002</v>
      </c>
      <c r="I8" s="1">
        <f t="shared" si="1"/>
        <v>147358.80000000002</v>
      </c>
    </row>
    <row r="9" spans="1:9" ht="18">
      <c r="A9" s="29" t="s">
        <v>2</v>
      </c>
      <c r="B9" s="49">
        <v>9.2</v>
      </c>
      <c r="C9" s="50">
        <v>45.2</v>
      </c>
      <c r="D9" s="51">
        <f>0.3+0.2+0.7+0.8</f>
        <v>2</v>
      </c>
      <c r="E9" s="12">
        <f>D9/D6*100</f>
        <v>0.0013822292316602366</v>
      </c>
      <c r="F9" s="136">
        <f>D9/B9*100</f>
        <v>21.73913043478261</v>
      </c>
      <c r="G9" s="1">
        <f t="shared" si="0"/>
        <v>4.424778761061947</v>
      </c>
      <c r="H9" s="1">
        <f aca="true" t="shared" si="2" ref="H9:H43">B9-D9</f>
        <v>7.199999999999999</v>
      </c>
      <c r="I9" s="1">
        <f t="shared" si="1"/>
        <v>43.2</v>
      </c>
    </row>
    <row r="10" spans="1:9" ht="18">
      <c r="A10" s="29" t="s">
        <v>1</v>
      </c>
      <c r="B10" s="49">
        <v>9950.9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</f>
        <v>7422.9</v>
      </c>
      <c r="E10" s="1">
        <f>D10/D6*100</f>
        <v>5.130074681845385</v>
      </c>
      <c r="F10" s="1">
        <f aca="true" t="shared" si="3" ref="F10:F41">D10/B10*100</f>
        <v>74.59526274005366</v>
      </c>
      <c r="G10" s="1">
        <f t="shared" si="0"/>
        <v>33.573198972392085</v>
      </c>
      <c r="H10" s="1">
        <f t="shared" si="2"/>
        <v>2528</v>
      </c>
      <c r="I10" s="1">
        <f t="shared" si="1"/>
        <v>14686.699999999999</v>
      </c>
    </row>
    <row r="11" spans="1:9" ht="18">
      <c r="A11" s="29" t="s">
        <v>0</v>
      </c>
      <c r="B11" s="49">
        <v>34816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</f>
        <v>31211.6</v>
      </c>
      <c r="E11" s="1">
        <f>D11/D6*100</f>
        <v>21.57079294344332</v>
      </c>
      <c r="F11" s="1">
        <f t="shared" si="3"/>
        <v>89.64728860294117</v>
      </c>
      <c r="G11" s="1">
        <f t="shared" si="0"/>
        <v>50.82834059919325</v>
      </c>
      <c r="H11" s="1">
        <f t="shared" si="2"/>
        <v>3604.4000000000015</v>
      </c>
      <c r="I11" s="1">
        <f t="shared" si="1"/>
        <v>30194.299999999996</v>
      </c>
    </row>
    <row r="12" spans="1:9" ht="18">
      <c r="A12" s="29" t="s">
        <v>15</v>
      </c>
      <c r="B12" s="49">
        <v>202.8</v>
      </c>
      <c r="C12" s="50">
        <v>286.2</v>
      </c>
      <c r="D12" s="51">
        <f>3.8+3.8+12.7+7.4+5+16.3+3.8+110.9</f>
        <v>163.7</v>
      </c>
      <c r="E12" s="1">
        <f>D12/D6*100</f>
        <v>0.11313546261139036</v>
      </c>
      <c r="F12" s="1">
        <f t="shared" si="3"/>
        <v>80.71992110453647</v>
      </c>
      <c r="G12" s="1">
        <f t="shared" si="0"/>
        <v>57.197763801537384</v>
      </c>
      <c r="H12" s="1">
        <f t="shared" si="2"/>
        <v>39.10000000000002</v>
      </c>
      <c r="I12" s="1">
        <f t="shared" si="1"/>
        <v>122.5</v>
      </c>
    </row>
    <row r="13" spans="1:9" ht="18.75" thickBot="1">
      <c r="A13" s="29" t="s">
        <v>35</v>
      </c>
      <c r="B13" s="50">
        <f>B6-B8-B9-B10-B11-B12</f>
        <v>2327.1000000000013</v>
      </c>
      <c r="C13" s="50">
        <f>C6-C8-C9-C10-C11-C12</f>
        <v>3699.099999999952</v>
      </c>
      <c r="D13" s="50">
        <f>D6-D8-D9-D10-D11-D12</f>
        <v>1287.7000000000523</v>
      </c>
      <c r="E13" s="1">
        <f>D13/D6*100</f>
        <v>0.8899482908044795</v>
      </c>
      <c r="F13" s="1">
        <f t="shared" si="3"/>
        <v>55.33496626702985</v>
      </c>
      <c r="G13" s="1">
        <f t="shared" si="0"/>
        <v>34.81117028466571</v>
      </c>
      <c r="H13" s="1">
        <f t="shared" si="2"/>
        <v>1039.399999999949</v>
      </c>
      <c r="I13" s="1">
        <f t="shared" si="1"/>
        <v>2411.3999999998996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106370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</f>
        <v>85714.19999999998</v>
      </c>
      <c r="E18" s="3">
        <f>D18/D144*100</f>
        <v>23.62506046544959</v>
      </c>
      <c r="F18" s="3">
        <f>D18/B18*100</f>
        <v>80.58117890382624</v>
      </c>
      <c r="G18" s="3">
        <f t="shared" si="0"/>
        <v>37.811729664012184</v>
      </c>
      <c r="H18" s="3">
        <f>B18-D18</f>
        <v>20655.800000000017</v>
      </c>
      <c r="I18" s="3">
        <f t="shared" si="1"/>
        <v>140972.60000000003</v>
      </c>
    </row>
    <row r="19" spans="1:9" s="44" customFormat="1" ht="18.75">
      <c r="A19" s="118" t="s">
        <v>108</v>
      </c>
      <c r="B19" s="109">
        <v>97469.8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</f>
        <v>78412.5</v>
      </c>
      <c r="E19" s="107">
        <f>D19/D18*100</f>
        <v>91.4813414813415</v>
      </c>
      <c r="F19" s="107">
        <f t="shared" si="3"/>
        <v>80.44799517388975</v>
      </c>
      <c r="G19" s="107">
        <f t="shared" si="0"/>
        <v>42.039907955856556</v>
      </c>
      <c r="H19" s="107">
        <f t="shared" si="2"/>
        <v>19057.300000000003</v>
      </c>
      <c r="I19" s="107">
        <f t="shared" si="1"/>
        <v>108106.70000000001</v>
      </c>
    </row>
    <row r="20" spans="1:9" ht="18">
      <c r="A20" s="29" t="s">
        <v>5</v>
      </c>
      <c r="B20" s="49">
        <v>80861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</f>
        <v>65407.799999999974</v>
      </c>
      <c r="E20" s="1">
        <f>D20/D18*100</f>
        <v>76.3091763091763</v>
      </c>
      <c r="F20" s="1">
        <f t="shared" si="3"/>
        <v>80.88918019811773</v>
      </c>
      <c r="G20" s="1">
        <f t="shared" si="0"/>
        <v>38.65802894750994</v>
      </c>
      <c r="H20" s="1">
        <f t="shared" si="2"/>
        <v>15453.200000000026</v>
      </c>
      <c r="I20" s="1">
        <f t="shared" si="1"/>
        <v>103788.10000000002</v>
      </c>
    </row>
    <row r="21" spans="1:9" ht="18">
      <c r="A21" s="29" t="s">
        <v>2</v>
      </c>
      <c r="B21" s="49">
        <v>5011</v>
      </c>
      <c r="C21" s="50">
        <v>12491.1</v>
      </c>
      <c r="D21" s="51">
        <f>11+1.8+42.7+3+47.6+40.1+0.7+2.5+101.4-0.1+82.5+53+0.2+1536.8+83.2+0.7+12.8+1.8+77.1+0.2+37.6+299.6+50.4+17.9+245.6</f>
        <v>2750.0999999999995</v>
      </c>
      <c r="E21" s="1">
        <f>D21/D18*100</f>
        <v>3.208453208453208</v>
      </c>
      <c r="F21" s="1">
        <f t="shared" si="3"/>
        <v>54.88126122530432</v>
      </c>
      <c r="G21" s="1">
        <f t="shared" si="0"/>
        <v>22.016475730720266</v>
      </c>
      <c r="H21" s="1">
        <f t="shared" si="2"/>
        <v>2260.9000000000005</v>
      </c>
      <c r="I21" s="1">
        <f t="shared" si="1"/>
        <v>9741</v>
      </c>
    </row>
    <row r="22" spans="1:9" ht="18">
      <c r="A22" s="29" t="s">
        <v>1</v>
      </c>
      <c r="B22" s="49">
        <v>1620.8</v>
      </c>
      <c r="C22" s="50">
        <v>3253.3</v>
      </c>
      <c r="D22" s="51">
        <f>173.9+19+7.6+19.5+89.8+0.1+92.4+48.6+202.1+56.1+96.9+242.1+36.1+19.2+171.7+0.1</f>
        <v>1275.2</v>
      </c>
      <c r="E22" s="1">
        <f>D22/D18*100</f>
        <v>1.4877348210681547</v>
      </c>
      <c r="F22" s="1">
        <f t="shared" si="3"/>
        <v>78.67719644619942</v>
      </c>
      <c r="G22" s="1">
        <f t="shared" si="0"/>
        <v>39.1971229213414</v>
      </c>
      <c r="H22" s="1">
        <f t="shared" si="2"/>
        <v>345.5999999999999</v>
      </c>
      <c r="I22" s="1">
        <f t="shared" si="1"/>
        <v>1978.1000000000001</v>
      </c>
    </row>
    <row r="23" spans="1:9" ht="18">
      <c r="A23" s="29" t="s">
        <v>0</v>
      </c>
      <c r="B23" s="49">
        <v>11815.7</v>
      </c>
      <c r="C23" s="50">
        <f>24676.2+518</f>
        <v>25194.2</v>
      </c>
      <c r="D23" s="51">
        <f>96.9+173.9+611.9+463.4+109.9+698.9+114.7+0.2+702.4+1027.2+819.6+1945.5+240.6+329.9+0.1+104.4+1287.1+2.2+0.5+9+338.9+138.1+1558.4-0.2</f>
        <v>10773.5</v>
      </c>
      <c r="E23" s="1">
        <f>D23/D18*100</f>
        <v>12.56909590242924</v>
      </c>
      <c r="F23" s="1">
        <f t="shared" si="3"/>
        <v>91.17953231717122</v>
      </c>
      <c r="G23" s="1">
        <f t="shared" si="0"/>
        <v>42.76182613458653</v>
      </c>
      <c r="H23" s="1">
        <f t="shared" si="2"/>
        <v>1042.2000000000007</v>
      </c>
      <c r="I23" s="1">
        <f t="shared" si="1"/>
        <v>14420.7</v>
      </c>
    </row>
    <row r="24" spans="1:9" ht="18">
      <c r="A24" s="29" t="s">
        <v>15</v>
      </c>
      <c r="B24" s="49">
        <v>707.4</v>
      </c>
      <c r="C24" s="50">
        <v>1528.1</v>
      </c>
      <c r="D24" s="51">
        <f>111+58.1+166.1+55.7+24.9+10.1-0.1+89.8+44.2+0.1</f>
        <v>559.9</v>
      </c>
      <c r="E24" s="1">
        <f>D24/D18*100</f>
        <v>0.6532173198839867</v>
      </c>
      <c r="F24" s="1">
        <f t="shared" si="3"/>
        <v>79.14899632456884</v>
      </c>
      <c r="G24" s="1">
        <f t="shared" si="0"/>
        <v>36.640272233492574</v>
      </c>
      <c r="H24" s="1">
        <f t="shared" si="2"/>
        <v>147.5</v>
      </c>
      <c r="I24" s="1">
        <f t="shared" si="1"/>
        <v>968.1999999999999</v>
      </c>
    </row>
    <row r="25" spans="1:9" ht="18.75" thickBot="1">
      <c r="A25" s="29" t="s">
        <v>35</v>
      </c>
      <c r="B25" s="50">
        <f>B18-B20-B21-B22-B23-B24</f>
        <v>6354.1</v>
      </c>
      <c r="C25" s="50">
        <f>C18-C20-C21-C22-C23-C24</f>
        <v>15024.20000000002</v>
      </c>
      <c r="D25" s="50">
        <f>D18-D20-D21-D22-D23-D24</f>
        <v>4947.70000000001</v>
      </c>
      <c r="E25" s="1">
        <f>D25/D18*100</f>
        <v>5.772322438989119</v>
      </c>
      <c r="F25" s="1">
        <f t="shared" si="3"/>
        <v>77.86625958042853</v>
      </c>
      <c r="G25" s="1">
        <f t="shared" si="0"/>
        <v>32.9315371201129</v>
      </c>
      <c r="H25" s="1">
        <f t="shared" si="2"/>
        <v>1406.3999999999905</v>
      </c>
      <c r="I25" s="1">
        <f t="shared" si="1"/>
        <v>10076.500000000011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25251.1</v>
      </c>
      <c r="C33" s="53">
        <f>41831.7+164.1+250.5</f>
        <v>42246.299999999996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</f>
        <v>17345.199999999993</v>
      </c>
      <c r="E33" s="3">
        <f>D33/D144*100</f>
        <v>4.780787766616455</v>
      </c>
      <c r="F33" s="3">
        <f>D33/B33*100</f>
        <v>68.6908689126414</v>
      </c>
      <c r="G33" s="3">
        <f t="shared" si="0"/>
        <v>41.05732336322943</v>
      </c>
      <c r="H33" s="3">
        <f t="shared" si="2"/>
        <v>7905.900000000005</v>
      </c>
      <c r="I33" s="3">
        <f t="shared" si="1"/>
        <v>24901.100000000002</v>
      </c>
    </row>
    <row r="34" spans="1:9" ht="18">
      <c r="A34" s="29" t="s">
        <v>3</v>
      </c>
      <c r="B34" s="49">
        <v>18295.6</v>
      </c>
      <c r="C34" s="50">
        <v>29626.4</v>
      </c>
      <c r="D34" s="51">
        <f>1216.2+1064.6-0.1+1185.2+1240.8+0.1+1202.8+1206.8+1191.1+1224.7+5.8+1196.2+1414.6+52.8</f>
        <v>12201.600000000002</v>
      </c>
      <c r="E34" s="1">
        <f>D34/D33*100</f>
        <v>70.34568641468537</v>
      </c>
      <c r="F34" s="1">
        <f t="shared" si="3"/>
        <v>66.69144493758064</v>
      </c>
      <c r="G34" s="1">
        <f t="shared" si="0"/>
        <v>41.18488915291768</v>
      </c>
      <c r="H34" s="1">
        <f t="shared" si="2"/>
        <v>6093.999999999996</v>
      </c>
      <c r="I34" s="1">
        <f t="shared" si="1"/>
        <v>17424.8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1617.4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</f>
        <v>1226.7</v>
      </c>
      <c r="E36" s="1">
        <f>D36/D33*100</f>
        <v>7.072273597306462</v>
      </c>
      <c r="F36" s="1">
        <f t="shared" si="3"/>
        <v>75.84394707555336</v>
      </c>
      <c r="G36" s="1">
        <f t="shared" si="0"/>
        <v>45.87509349289454</v>
      </c>
      <c r="H36" s="1">
        <f t="shared" si="2"/>
        <v>390.70000000000005</v>
      </c>
      <c r="I36" s="1">
        <f t="shared" si="1"/>
        <v>1447.3</v>
      </c>
    </row>
    <row r="37" spans="1:9" s="44" customFormat="1" ht="18.75">
      <c r="A37" s="23" t="s">
        <v>7</v>
      </c>
      <c r="B37" s="58">
        <v>269.5</v>
      </c>
      <c r="C37" s="59">
        <f>493.5+22</f>
        <v>515.5</v>
      </c>
      <c r="D37" s="60">
        <f>19+12.3+0.1+11.9+3.2+10.7+22.4+14.8+37.3+30.8+8.3</f>
        <v>170.8</v>
      </c>
      <c r="E37" s="19">
        <f>D37/D33*100</f>
        <v>0.9847104674492082</v>
      </c>
      <c r="F37" s="19">
        <f t="shared" si="3"/>
        <v>63.37662337662338</v>
      </c>
      <c r="G37" s="19">
        <f t="shared" si="0"/>
        <v>33.132880698351116</v>
      </c>
      <c r="H37" s="19">
        <f t="shared" si="2"/>
        <v>98.69999999999999</v>
      </c>
      <c r="I37" s="19">
        <f t="shared" si="1"/>
        <v>344.7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0.09800982404353947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5031.6</v>
      </c>
      <c r="C39" s="49">
        <f>C33-C34-C36-C37-C35-C38</f>
        <v>9383.199999999993</v>
      </c>
      <c r="D39" s="49">
        <f>D33-D34-D36-D37-D35-D38</f>
        <v>3729.0999999999913</v>
      </c>
      <c r="E39" s="1">
        <f>D39/D33*100</f>
        <v>21.49931969651542</v>
      </c>
      <c r="F39" s="1">
        <f t="shared" si="3"/>
        <v>74.11360203513775</v>
      </c>
      <c r="G39" s="1">
        <f t="shared" si="0"/>
        <v>39.74230539687946</v>
      </c>
      <c r="H39" s="1">
        <f>B39-D39</f>
        <v>1302.500000000009</v>
      </c>
      <c r="I39" s="1">
        <f t="shared" si="1"/>
        <v>5654.100000000002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428.2</v>
      </c>
      <c r="C43" s="53">
        <f>768.4+32.5+15</f>
        <v>815.9</v>
      </c>
      <c r="D43" s="54">
        <f>17.7+12.2+11.2+51.1+0.8+30+0.1+18.9+27.3+43.7+9+5.4+5.6+7.8+24.4+6.4-0.1</f>
        <v>271.49999999999994</v>
      </c>
      <c r="E43" s="3">
        <f>D43/D144*100</f>
        <v>0.07483245385676543</v>
      </c>
      <c r="F43" s="3">
        <f>D43/B43*100</f>
        <v>63.40495095749649</v>
      </c>
      <c r="G43" s="3">
        <f t="shared" si="0"/>
        <v>33.27613678146831</v>
      </c>
      <c r="H43" s="3">
        <f t="shared" si="2"/>
        <v>156.70000000000005</v>
      </c>
      <c r="I43" s="3">
        <f t="shared" si="1"/>
        <v>544.4000000000001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3360.2</v>
      </c>
      <c r="C45" s="53">
        <f>6659.3+87.1</f>
        <v>6746.400000000001</v>
      </c>
      <c r="D45" s="54">
        <f>193+223+8.7+101.1+200.9+9+241+299.2+7.6+43.6+283.1+0.8+48.7+276.1+3.4+2.2+253.5+5+282+1.9+4.8+3.2+261.3+0.5</f>
        <v>2753.6</v>
      </c>
      <c r="E45" s="3">
        <f>D45/D144*100</f>
        <v>0.7589637014364248</v>
      </c>
      <c r="F45" s="3">
        <f>D45/B45*100</f>
        <v>81.947503124814</v>
      </c>
      <c r="G45" s="3">
        <f aca="true" t="shared" si="4" ref="G45:G75">D45/C45*100</f>
        <v>40.815842523419896</v>
      </c>
      <c r="H45" s="3">
        <f>B45-D45</f>
        <v>606.5999999999999</v>
      </c>
      <c r="I45" s="3">
        <f aca="true" t="shared" si="5" ref="I45:I76">C45-D45</f>
        <v>3992.8000000000006</v>
      </c>
    </row>
    <row r="46" spans="1:9" ht="18">
      <c r="A46" s="29" t="s">
        <v>3</v>
      </c>
      <c r="B46" s="49">
        <v>2808.7</v>
      </c>
      <c r="C46" s="50">
        <v>5755.9</v>
      </c>
      <c r="D46" s="51">
        <f>193+222.7+1.6+196.4+240.9+0.1+199.7+265.9+214+253.1+238.6+255.9</f>
        <v>2281.9</v>
      </c>
      <c r="E46" s="1">
        <f>D46/D45*100</f>
        <v>82.86969785008716</v>
      </c>
      <c r="F46" s="1">
        <f aca="true" t="shared" si="6" ref="F46:F73">D46/B46*100</f>
        <v>81.24399188236552</v>
      </c>
      <c r="G46" s="1">
        <f t="shared" si="4"/>
        <v>39.64453864730103</v>
      </c>
      <c r="H46" s="1">
        <f aca="true" t="shared" si="7" ref="H46:H73">B46-D46</f>
        <v>526.7999999999997</v>
      </c>
      <c r="I46" s="1">
        <f t="shared" si="5"/>
        <v>3473.9999999999995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</f>
        <v>0.3</v>
      </c>
      <c r="E47" s="1">
        <f>D47/D45*100</f>
        <v>0.010894828588030215</v>
      </c>
      <c r="F47" s="1">
        <f t="shared" si="6"/>
        <v>42.85714285714286</v>
      </c>
      <c r="G47" s="1">
        <f t="shared" si="4"/>
        <v>25</v>
      </c>
      <c r="H47" s="1">
        <f t="shared" si="7"/>
        <v>0.39999999999999997</v>
      </c>
      <c r="I47" s="1">
        <f t="shared" si="5"/>
        <v>0.8999999999999999</v>
      </c>
    </row>
    <row r="48" spans="1:9" ht="18">
      <c r="A48" s="29" t="s">
        <v>1</v>
      </c>
      <c r="B48" s="49">
        <v>31.1</v>
      </c>
      <c r="C48" s="50">
        <v>60.2</v>
      </c>
      <c r="D48" s="51">
        <f>3.8+1+5.7-0.1+1.3+4.1-0.1+4.6+1.1</f>
        <v>21.400000000000002</v>
      </c>
      <c r="E48" s="1">
        <f>D48/D45*100</f>
        <v>0.7771644392794888</v>
      </c>
      <c r="F48" s="1">
        <f t="shared" si="6"/>
        <v>68.81028938906752</v>
      </c>
      <c r="G48" s="1">
        <f t="shared" si="4"/>
        <v>35.548172757475086</v>
      </c>
      <c r="H48" s="1">
        <f t="shared" si="7"/>
        <v>9.7</v>
      </c>
      <c r="I48" s="1">
        <f t="shared" si="5"/>
        <v>38.8</v>
      </c>
    </row>
    <row r="49" spans="1:9" ht="18">
      <c r="A49" s="29" t="s">
        <v>0</v>
      </c>
      <c r="B49" s="49">
        <v>308.6</v>
      </c>
      <c r="C49" s="50">
        <v>538.3</v>
      </c>
      <c r="D49" s="51">
        <f>4.7+90.3+4.8+67.1+3.1+1.1+45.6+36.3+2.7+2+0.1+34.4+3.4</f>
        <v>295.5999999999999</v>
      </c>
      <c r="E49" s="1">
        <f>D49/D45*100</f>
        <v>10.735037768739101</v>
      </c>
      <c r="F49" s="1">
        <f t="shared" si="6"/>
        <v>95.78742709008421</v>
      </c>
      <c r="G49" s="1">
        <f t="shared" si="4"/>
        <v>54.91361694222551</v>
      </c>
      <c r="H49" s="1">
        <f t="shared" si="7"/>
        <v>13.000000000000114</v>
      </c>
      <c r="I49" s="1">
        <f t="shared" si="5"/>
        <v>242.70000000000005</v>
      </c>
    </row>
    <row r="50" spans="1:9" ht="18.75" thickBot="1">
      <c r="A50" s="29" t="s">
        <v>35</v>
      </c>
      <c r="B50" s="50">
        <f>B45-B46-B49-B48-B47</f>
        <v>211.1</v>
      </c>
      <c r="C50" s="50">
        <f>C45-C46-C49-C48-C47</f>
        <v>390.800000000001</v>
      </c>
      <c r="D50" s="50">
        <f>D45-D46-D49-D48-D47</f>
        <v>154.3999999999999</v>
      </c>
      <c r="E50" s="1">
        <f>D50/D45*100</f>
        <v>5.607205113306214</v>
      </c>
      <c r="F50" s="1">
        <f t="shared" si="6"/>
        <v>73.14069161534813</v>
      </c>
      <c r="G50" s="1">
        <f t="shared" si="4"/>
        <v>39.50870010235402</v>
      </c>
      <c r="H50" s="1">
        <f t="shared" si="7"/>
        <v>56.7000000000001</v>
      </c>
      <c r="I50" s="1">
        <f t="shared" si="5"/>
        <v>236.40000000000109</v>
      </c>
    </row>
    <row r="51" spans="1:9" ht="18.75" thickBot="1">
      <c r="A51" s="28" t="s">
        <v>4</v>
      </c>
      <c r="B51" s="52">
        <v>7752.3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</f>
        <v>5610.9</v>
      </c>
      <c r="E51" s="3">
        <f>D51/D144*100</f>
        <v>1.5465098171083802</v>
      </c>
      <c r="F51" s="3">
        <f>D51/B51*100</f>
        <v>72.37722998335977</v>
      </c>
      <c r="G51" s="3">
        <f t="shared" si="4"/>
        <v>39.49196562427416</v>
      </c>
      <c r="H51" s="3">
        <f>B51-D51</f>
        <v>2141.4000000000005</v>
      </c>
      <c r="I51" s="3">
        <f t="shared" si="5"/>
        <v>8596.800000000001</v>
      </c>
    </row>
    <row r="52" spans="1:9" ht="18">
      <c r="A52" s="29" t="s">
        <v>3</v>
      </c>
      <c r="B52" s="49">
        <v>4576.8</v>
      </c>
      <c r="C52" s="50">
        <v>8729.1</v>
      </c>
      <c r="D52" s="51">
        <f>260.4+390.2+0.1+271.7+395.7-0.1+282.9+391.4+0.1+7.8+263.9+397.2+272.6+486-0.1</f>
        <v>3419.7999999999997</v>
      </c>
      <c r="E52" s="1">
        <f>D52/D51*100</f>
        <v>60.94922383218378</v>
      </c>
      <c r="F52" s="1">
        <f t="shared" si="6"/>
        <v>74.72032861387868</v>
      </c>
      <c r="G52" s="1">
        <f t="shared" si="4"/>
        <v>39.17700564777583</v>
      </c>
      <c r="H52" s="1">
        <f t="shared" si="7"/>
        <v>1157.0000000000005</v>
      </c>
      <c r="I52" s="1">
        <f t="shared" si="5"/>
        <v>5309.300000000001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137</v>
      </c>
      <c r="C54" s="50">
        <f>189.7+74</f>
        <v>263.7</v>
      </c>
      <c r="D54" s="51">
        <f>1.7+1.5+4.6+9.7+8-0.1+0.1+5.9+12.1+0.1+17.6+12.8+4+10.7</f>
        <v>88.7</v>
      </c>
      <c r="E54" s="1">
        <f>D54/D51*100</f>
        <v>1.5808515567912458</v>
      </c>
      <c r="F54" s="1">
        <f t="shared" si="6"/>
        <v>64.74452554744525</v>
      </c>
      <c r="G54" s="1">
        <f t="shared" si="4"/>
        <v>33.63670838073568</v>
      </c>
      <c r="H54" s="1">
        <f t="shared" si="7"/>
        <v>48.3</v>
      </c>
      <c r="I54" s="1">
        <f t="shared" si="5"/>
        <v>175</v>
      </c>
    </row>
    <row r="55" spans="1:9" ht="18">
      <c r="A55" s="29" t="s">
        <v>0</v>
      </c>
      <c r="B55" s="49">
        <v>410.6</v>
      </c>
      <c r="C55" s="50">
        <f>709.9+0.6</f>
        <v>710.5</v>
      </c>
      <c r="D55" s="51">
        <f>1.1+7.6+5.9+0.3+0.2+6.8+0.3+67.1+16.4-0.1+19.5+19.3+76.2+4.5+12.1+86.4+1+0.1+7.3+44.6+0.6+0.7+4.7+3.3+0.6</f>
        <v>386.5000000000001</v>
      </c>
      <c r="E55" s="1">
        <f>D55/D51*100</f>
        <v>6.888377978577415</v>
      </c>
      <c r="F55" s="1">
        <f t="shared" si="6"/>
        <v>94.13054067218707</v>
      </c>
      <c r="G55" s="1">
        <f t="shared" si="4"/>
        <v>54.39831104855737</v>
      </c>
      <c r="H55" s="1">
        <f t="shared" si="7"/>
        <v>24.09999999999991</v>
      </c>
      <c r="I55" s="1">
        <f t="shared" si="5"/>
        <v>323.9999999999999</v>
      </c>
    </row>
    <row r="56" spans="1:9" ht="18.75" thickBot="1">
      <c r="A56" s="29" t="s">
        <v>35</v>
      </c>
      <c r="B56" s="50">
        <f>B51-B52-B55-B54-B53</f>
        <v>2627.9</v>
      </c>
      <c r="C56" s="50">
        <f>C51-C52-C55-C54-C53</f>
        <v>4493.500000000001</v>
      </c>
      <c r="D56" s="50">
        <f>D51-D52-D55-D54-D53</f>
        <v>1715.8999999999999</v>
      </c>
      <c r="E56" s="1">
        <f>D56/D51*100</f>
        <v>30.58154663244756</v>
      </c>
      <c r="F56" s="1">
        <f t="shared" si="6"/>
        <v>65.29548308535331</v>
      </c>
      <c r="G56" s="1">
        <f t="shared" si="4"/>
        <v>38.18626905530209</v>
      </c>
      <c r="H56" s="1">
        <f t="shared" si="7"/>
        <v>912.0000000000002</v>
      </c>
      <c r="I56" s="1">
        <f>C56-D56</f>
        <v>2777.6000000000013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3174.8</v>
      </c>
      <c r="C58" s="53">
        <f>3033.3+2447.7+44</f>
        <v>5525</v>
      </c>
      <c r="D58" s="54">
        <f>36.1+65.6+6.5+0.4+1.3+60.3+3+39.2+0.1+14.1+69.1+5.2-0.1+1.8+81+43+6.1+66+42.4+63.1+71.4+46.8+10.3+27.4+2.3+82.5+2.8+0.1</f>
        <v>847.7999999999997</v>
      </c>
      <c r="E58" s="3">
        <f>D58/D144*100</f>
        <v>0.23367570673946858</v>
      </c>
      <c r="F58" s="3">
        <f>D58/B58*100</f>
        <v>26.70404434925034</v>
      </c>
      <c r="G58" s="3">
        <f t="shared" si="4"/>
        <v>15.344796380090491</v>
      </c>
      <c r="H58" s="3">
        <f>B58-D58</f>
        <v>2327.0000000000005</v>
      </c>
      <c r="I58" s="3">
        <f t="shared" si="5"/>
        <v>4677.200000000001</v>
      </c>
    </row>
    <row r="59" spans="1:9" ht="18">
      <c r="A59" s="29" t="s">
        <v>3</v>
      </c>
      <c r="B59" s="49">
        <v>708.6</v>
      </c>
      <c r="C59" s="50">
        <v>1426.1</v>
      </c>
      <c r="D59" s="51">
        <f>36.1+65.6+39.2+69.1+1.8+43+66+41.2+71.4+46.8+1.2+82.5+0.1</f>
        <v>564</v>
      </c>
      <c r="E59" s="1">
        <f>D59/D58*100</f>
        <v>66.52512384996464</v>
      </c>
      <c r="F59" s="1">
        <f t="shared" si="6"/>
        <v>79.59356477561388</v>
      </c>
      <c r="G59" s="1">
        <f t="shared" si="4"/>
        <v>39.548418764462525</v>
      </c>
      <c r="H59" s="1">
        <f t="shared" si="7"/>
        <v>144.60000000000002</v>
      </c>
      <c r="I59" s="1">
        <f t="shared" si="5"/>
        <v>862.0999999999999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6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285.2</v>
      </c>
      <c r="C61" s="50">
        <f>420.8+44</f>
        <v>464.8</v>
      </c>
      <c r="D61" s="51">
        <f>1.3+56.1+4.9+63.5+3.5+0.7+63-0.1+10.3+25.7+2.8</f>
        <v>231.70000000000002</v>
      </c>
      <c r="E61" s="1">
        <f>D61/D58*100</f>
        <v>27.329558858221286</v>
      </c>
      <c r="F61" s="1">
        <f t="shared" si="6"/>
        <v>81.24123422159889</v>
      </c>
      <c r="G61" s="1">
        <f t="shared" si="4"/>
        <v>49.84939759036145</v>
      </c>
      <c r="H61" s="1">
        <f t="shared" si="7"/>
        <v>53.49999999999997</v>
      </c>
      <c r="I61" s="1">
        <f t="shared" si="5"/>
        <v>233.1</v>
      </c>
    </row>
    <row r="62" spans="1:9" ht="18">
      <c r="A62" s="29" t="s">
        <v>15</v>
      </c>
      <c r="B62" s="49">
        <v>1900</v>
      </c>
      <c r="C62" s="50">
        <f>728.9+2400</f>
        <v>3128.9</v>
      </c>
      <c r="D62" s="51"/>
      <c r="E62" s="1">
        <f>D62/D58*100</f>
        <v>0</v>
      </c>
      <c r="F62" s="116">
        <f t="shared" si="6"/>
        <v>0</v>
      </c>
      <c r="G62" s="1">
        <f t="shared" si="4"/>
        <v>0</v>
      </c>
      <c r="H62" s="1">
        <f t="shared" si="7"/>
        <v>1900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281.00000000000045</v>
      </c>
      <c r="C63" s="50">
        <f>C58-C59-C61-C62-C60</f>
        <v>505.19999999999936</v>
      </c>
      <c r="D63" s="50">
        <f>D58-D59-D61-D62-D60</f>
        <v>52.09999999999971</v>
      </c>
      <c r="E63" s="1">
        <f>D63/D58*100</f>
        <v>6.1453172918140755</v>
      </c>
      <c r="F63" s="1">
        <f t="shared" si="6"/>
        <v>18.54092526690378</v>
      </c>
      <c r="G63" s="1">
        <f t="shared" si="4"/>
        <v>10.312747426761634</v>
      </c>
      <c r="H63" s="1">
        <f t="shared" si="7"/>
        <v>228.90000000000074</v>
      </c>
      <c r="I63" s="1">
        <f t="shared" si="5"/>
        <v>453.0999999999997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288</v>
      </c>
      <c r="C68" s="53">
        <f>C69+C70</f>
        <v>450.20000000000005</v>
      </c>
      <c r="D68" s="54">
        <f>SUM(D69:D70)</f>
        <v>207.6</v>
      </c>
      <c r="E68" s="42">
        <f>D68/D144*100</f>
        <v>0.05721995366727258</v>
      </c>
      <c r="F68" s="111">
        <f>D68/B68*100</f>
        <v>72.08333333333333</v>
      </c>
      <c r="G68" s="3">
        <f t="shared" si="4"/>
        <v>46.11283873833851</v>
      </c>
      <c r="H68" s="3">
        <f>B68-D68</f>
        <v>80.4</v>
      </c>
      <c r="I68" s="3">
        <f t="shared" si="5"/>
        <v>242.60000000000005</v>
      </c>
    </row>
    <row r="69" spans="1:9" ht="18">
      <c r="A69" s="29" t="s">
        <v>8</v>
      </c>
      <c r="B69" s="49">
        <v>232.3</v>
      </c>
      <c r="C69" s="50">
        <v>250.3</v>
      </c>
      <c r="D69" s="51">
        <f>0.2+12.6+73.3+85.8+22+1.3+2.3+2.7</f>
        <v>200.2</v>
      </c>
      <c r="E69" s="1">
        <f>D69/D68*100</f>
        <v>96.4354527938343</v>
      </c>
      <c r="F69" s="1">
        <f t="shared" si="6"/>
        <v>86.1816616444253</v>
      </c>
      <c r="G69" s="1">
        <f t="shared" si="4"/>
        <v>79.9840191769876</v>
      </c>
      <c r="H69" s="1">
        <f t="shared" si="7"/>
        <v>32.10000000000002</v>
      </c>
      <c r="I69" s="1">
        <f t="shared" si="5"/>
        <v>50.10000000000002</v>
      </c>
    </row>
    <row r="70" spans="1:9" ht="18.75" thickBot="1">
      <c r="A70" s="29" t="s">
        <v>9</v>
      </c>
      <c r="B70" s="49">
        <v>55.7</v>
      </c>
      <c r="C70" s="50">
        <f>242.8-42.9</f>
        <v>199.9</v>
      </c>
      <c r="D70" s="51">
        <f>7.4</f>
        <v>7.4</v>
      </c>
      <c r="E70" s="1">
        <f>D70/D69*100</f>
        <v>3.696303696303697</v>
      </c>
      <c r="F70" s="1">
        <f t="shared" si="6"/>
        <v>13.285457809694792</v>
      </c>
      <c r="G70" s="1">
        <f t="shared" si="4"/>
        <v>3.7018509254627316</v>
      </c>
      <c r="H70" s="1">
        <f t="shared" si="7"/>
        <v>48.300000000000004</v>
      </c>
      <c r="I70" s="1">
        <f t="shared" si="5"/>
        <v>192.5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0</v>
      </c>
      <c r="C76" s="69">
        <f>10000-6127.8-2982.3</f>
        <v>889.8999999999996</v>
      </c>
      <c r="D76" s="70"/>
      <c r="E76" s="48"/>
      <c r="F76" s="48"/>
      <c r="G76" s="48"/>
      <c r="H76" s="48">
        <f>B76-D76</f>
        <v>0</v>
      </c>
      <c r="I76" s="48">
        <f t="shared" si="5"/>
        <v>889.8999999999996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24884.2</v>
      </c>
      <c r="C89" s="53">
        <f>47925.9+539.6+110+168.6</f>
        <v>48744.1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</f>
        <v>18776.89999999999</v>
      </c>
      <c r="E89" s="3">
        <f>D89/D144*100</f>
        <v>5.175401483694653</v>
      </c>
      <c r="F89" s="3">
        <f aca="true" t="shared" si="10" ref="F89:F95">D89/B89*100</f>
        <v>75.4571173676469</v>
      </c>
      <c r="G89" s="3">
        <f t="shared" si="8"/>
        <v>38.521380023428456</v>
      </c>
      <c r="H89" s="3">
        <f aca="true" t="shared" si="11" ref="H89:H95">B89-D89</f>
        <v>6107.30000000001</v>
      </c>
      <c r="I89" s="3">
        <f t="shared" si="9"/>
        <v>29967.200000000008</v>
      </c>
    </row>
    <row r="90" spans="1:9" ht="18">
      <c r="A90" s="29" t="s">
        <v>3</v>
      </c>
      <c r="B90" s="49">
        <v>20057.1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</f>
        <v>16218.800000000001</v>
      </c>
      <c r="E90" s="1">
        <f>D90/D89*100</f>
        <v>86.37634540312837</v>
      </c>
      <c r="F90" s="1">
        <f t="shared" si="10"/>
        <v>80.86313574744106</v>
      </c>
      <c r="G90" s="1">
        <f t="shared" si="8"/>
        <v>40.917301579292605</v>
      </c>
      <c r="H90" s="1">
        <f t="shared" si="11"/>
        <v>3838.2999999999975</v>
      </c>
      <c r="I90" s="1">
        <f t="shared" si="9"/>
        <v>23419.199999999997</v>
      </c>
    </row>
    <row r="91" spans="1:9" ht="18">
      <c r="A91" s="29" t="s">
        <v>33</v>
      </c>
      <c r="B91" s="49">
        <v>1325.5</v>
      </c>
      <c r="C91" s="50">
        <f>2406.5+168.6</f>
        <v>2575.1</v>
      </c>
      <c r="D91" s="51">
        <f>15.4+0.6+1.6+3.7+2.5+4.3+0.4+4.2+0.8+56.6+102.4+16.1+0.1+47.1+38.8+64+59.3+87.7+34.7+0.6+1.8+42.3+4.4+28.7+17.2+4.1-0.1</f>
        <v>639.3</v>
      </c>
      <c r="E91" s="1">
        <f>D91/D89*100</f>
        <v>3.40471536835154</v>
      </c>
      <c r="F91" s="1">
        <f t="shared" si="10"/>
        <v>48.23085628064881</v>
      </c>
      <c r="G91" s="1">
        <f t="shared" si="8"/>
        <v>24.826220340957633</v>
      </c>
      <c r="H91" s="1">
        <f t="shared" si="11"/>
        <v>686.2</v>
      </c>
      <c r="I91" s="1">
        <f t="shared" si="9"/>
        <v>1935.8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3501.600000000002</v>
      </c>
      <c r="C93" s="50">
        <f>C89-C90-C91-C92</f>
        <v>6530.999999999998</v>
      </c>
      <c r="D93" s="50">
        <f>D89-D90-D91-D92</f>
        <v>1918.7999999999895</v>
      </c>
      <c r="E93" s="1">
        <f>D93/D89*100</f>
        <v>10.2189392285201</v>
      </c>
      <c r="F93" s="1">
        <f t="shared" si="10"/>
        <v>54.79780671692907</v>
      </c>
      <c r="G93" s="1">
        <f>D93/C93*100</f>
        <v>29.379880569591027</v>
      </c>
      <c r="H93" s="1">
        <f t="shared" si="11"/>
        <v>1582.8000000000127</v>
      </c>
      <c r="I93" s="1">
        <f>C93-D93</f>
        <v>4612.200000000009</v>
      </c>
    </row>
    <row r="94" spans="1:9" ht="18.75">
      <c r="A94" s="122" t="s">
        <v>12</v>
      </c>
      <c r="B94" s="127">
        <v>27500.6</v>
      </c>
      <c r="C94" s="129">
        <f>48638.3+1900-424</f>
        <v>50114.3</v>
      </c>
      <c r="D94" s="128">
        <f>3479.6+8.1+4.1+53.2+1101.8+1997.1+228.6+3048.1+0.1+314.6+1021.4+1907+2.5+299.7+94.1+2183.5+8+2623.6+342.3+2.2+8.5+1.3+1.6+10.6+34.2+57.7+70.3+17.2+208.3+74.7+207.6+2728.6+200.9+23.9+266.8+7.4+4.8+52.9+119.5+63.8</f>
        <v>22880.2</v>
      </c>
      <c r="E94" s="121">
        <f>D94/D144*100</f>
        <v>6.3063775717626696</v>
      </c>
      <c r="F94" s="125">
        <f t="shared" si="10"/>
        <v>83.19891202373768</v>
      </c>
      <c r="G94" s="120">
        <f>D94/C94*100</f>
        <v>45.656030314700594</v>
      </c>
      <c r="H94" s="126">
        <f t="shared" si="11"/>
        <v>4620.399999999998</v>
      </c>
      <c r="I94" s="121">
        <f>C94-D94</f>
        <v>27234.100000000002</v>
      </c>
    </row>
    <row r="95" spans="1:9" ht="18.75" thickBot="1">
      <c r="A95" s="123" t="s">
        <v>110</v>
      </c>
      <c r="B95" s="130">
        <v>2370</v>
      </c>
      <c r="C95" s="131">
        <v>4853.7</v>
      </c>
      <c r="D95" s="132">
        <f>600+69+9+48.5+2.5+299.7+50.5+190.4+1.3+10.6+6.7+53.3-0.1+0.9+266.8+7.4+4.8+52.9+0.1</f>
        <v>1674.3000000000002</v>
      </c>
      <c r="E95" s="133">
        <f>D95/D94*100</f>
        <v>7.317680789503589</v>
      </c>
      <c r="F95" s="134">
        <f t="shared" si="10"/>
        <v>70.64556962025317</v>
      </c>
      <c r="G95" s="135">
        <f>D95/C95*100</f>
        <v>34.49533345695037</v>
      </c>
      <c r="H95" s="124">
        <f t="shared" si="11"/>
        <v>695.6999999999998</v>
      </c>
      <c r="I95" s="96">
        <f>C95-D95</f>
        <v>3179.3999999999996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4698.2</v>
      </c>
      <c r="C101" s="104">
        <f>6061.2+4589.8-16.4-3.1</f>
        <v>10631.5</v>
      </c>
      <c r="D101" s="90">
        <f>110.5+80.7+66.2+55.7+33+106.8+21.7+2.2+3.9+0.4+5.9+27.7+127.6+1.1+13.8+50.2+3.3+23.2+111+21.4+3.2+5.8+132.8+36.6+20.9+0.1+13.6+84.8+20.8+33.6+130.7+63.1+21.1+62.1+181.2+8.2+6+105.4+20.4+101.6+1.7+242.6+23+30.4-0.1</f>
        <v>2215.8999999999996</v>
      </c>
      <c r="E101" s="25">
        <f>D101/D144*100</f>
        <v>0.6107596114224918</v>
      </c>
      <c r="F101" s="25">
        <f>D101/B101*100</f>
        <v>47.164871652973474</v>
      </c>
      <c r="G101" s="25">
        <f aca="true" t="shared" si="12" ref="G101:G142">D101/C101*100</f>
        <v>20.84277853548417</v>
      </c>
      <c r="H101" s="25">
        <f aca="true" t="shared" si="13" ref="H101:H106">B101-D101</f>
        <v>2482.3</v>
      </c>
      <c r="I101" s="25">
        <f aca="true" t="shared" si="14" ref="I101:I142">C101-D101</f>
        <v>8415.6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4255.1</v>
      </c>
      <c r="C103" s="51">
        <f>5036.9+4586-16.4-3.1</f>
        <v>9603.4</v>
      </c>
      <c r="D103" s="51">
        <f>110.3+80.7+66.2+32.9+19.7+106.6+21.7+3.9+5.8+27.6+127.6+1.1+0.1+13.7+10.7+3.3+110.8+21.4+3.1+2+132.8+20.9+0.1+78+20.6+33.3+130.5+62.7+21+24.6+165.3+8.1+5.9+105.3+20.3+100.8+1.7+215.8+10+30.4</f>
        <v>1957.3</v>
      </c>
      <c r="E103" s="1">
        <f>D103/D101*100</f>
        <v>88.3297982760955</v>
      </c>
      <c r="F103" s="1">
        <f aca="true" t="shared" si="15" ref="F103:F142">D103/B103*100</f>
        <v>45.99891894432563</v>
      </c>
      <c r="G103" s="1">
        <f t="shared" si="12"/>
        <v>20.38132328133786</v>
      </c>
      <c r="H103" s="1">
        <f t="shared" si="13"/>
        <v>2297.8</v>
      </c>
      <c r="I103" s="1">
        <f t="shared" si="14"/>
        <v>7646.099999999999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443.09999999999945</v>
      </c>
      <c r="C105" s="100">
        <f>C101-C102-C103</f>
        <v>1028.1000000000004</v>
      </c>
      <c r="D105" s="100">
        <f>D101-D102-D103</f>
        <v>258.5999999999997</v>
      </c>
      <c r="E105" s="96">
        <f>D105/D101*100</f>
        <v>11.670201723904496</v>
      </c>
      <c r="F105" s="96">
        <f t="shared" si="15"/>
        <v>58.36154366960054</v>
      </c>
      <c r="G105" s="96">
        <f t="shared" si="12"/>
        <v>25.15319521447326</v>
      </c>
      <c r="H105" s="96">
        <f>B105-D105</f>
        <v>184.49999999999977</v>
      </c>
      <c r="I105" s="96">
        <f t="shared" si="14"/>
        <v>769.5000000000007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74695.40000000001</v>
      </c>
      <c r="C106" s="93">
        <f>SUM(C107:C141)-C114-C118+C142-C134-C135-C108-C111-C121-C122-C132</f>
        <v>149613.8</v>
      </c>
      <c r="D106" s="93">
        <f>SUM(D107:D141)-D114-D118+D142-D134-D135-D108-D111-D121-D122-D132</f>
        <v>61492.9</v>
      </c>
      <c r="E106" s="94">
        <f>D106/D144*100</f>
        <v>16.94904089049242</v>
      </c>
      <c r="F106" s="94">
        <f>D106/B106*100</f>
        <v>82.32488212125511</v>
      </c>
      <c r="G106" s="94">
        <f t="shared" si="12"/>
        <v>41.10108826859555</v>
      </c>
      <c r="H106" s="94">
        <f t="shared" si="13"/>
        <v>13202.500000000007</v>
      </c>
      <c r="I106" s="94">
        <f t="shared" si="14"/>
        <v>88120.9</v>
      </c>
    </row>
    <row r="107" spans="1:9" ht="37.5">
      <c r="A107" s="34" t="s">
        <v>67</v>
      </c>
      <c r="B107" s="78">
        <v>1046.4</v>
      </c>
      <c r="C107" s="74">
        <f>1662.5+137.3</f>
        <v>1799.8</v>
      </c>
      <c r="D107" s="79">
        <f>114.2+9+1.8-0.1+90.7+22.4+38.1+76.9+3.3+8.3+1.4+33.8+39+2.5+0.1+67.3+0.2+4+0.9+2.5+0.8+0.4+3.1+0.1+83.9+1.4+0.8+11.2+0.6+1.6+3.2+0.1</f>
        <v>623.5000000000001</v>
      </c>
      <c r="E107" s="6">
        <f>D107/D106*100</f>
        <v>1.0139381944907462</v>
      </c>
      <c r="F107" s="6">
        <f t="shared" si="15"/>
        <v>59.585244648318046</v>
      </c>
      <c r="G107" s="6">
        <f t="shared" si="12"/>
        <v>34.64273808200912</v>
      </c>
      <c r="H107" s="6">
        <f aca="true" t="shared" si="16" ref="H107:H142">B107-D107</f>
        <v>422.9</v>
      </c>
      <c r="I107" s="6">
        <f t="shared" si="14"/>
        <v>1176.2999999999997</v>
      </c>
    </row>
    <row r="108" spans="1:9" ht="18">
      <c r="A108" s="29" t="s">
        <v>33</v>
      </c>
      <c r="B108" s="81">
        <v>451.9</v>
      </c>
      <c r="C108" s="51">
        <v>823.7</v>
      </c>
      <c r="D108" s="82">
        <f>96.8+90.7+64.1+48.5+58.1</f>
        <v>358.20000000000005</v>
      </c>
      <c r="E108" s="1"/>
      <c r="F108" s="1">
        <f t="shared" si="15"/>
        <v>79.26532418676699</v>
      </c>
      <c r="G108" s="1">
        <f t="shared" si="12"/>
        <v>43.48670632511838</v>
      </c>
      <c r="H108" s="1">
        <f t="shared" si="16"/>
        <v>93.69999999999993</v>
      </c>
      <c r="I108" s="1">
        <f t="shared" si="14"/>
        <v>465.5</v>
      </c>
    </row>
    <row r="109" spans="1:9" ht="34.5" customHeight="1">
      <c r="A109" s="17" t="s">
        <v>100</v>
      </c>
      <c r="B109" s="80">
        <v>467.4</v>
      </c>
      <c r="C109" s="68">
        <v>903.8</v>
      </c>
      <c r="D109" s="79">
        <f>20.7+31.6+0.1+27.7-0.1+31.4+0.1</f>
        <v>111.5</v>
      </c>
      <c r="E109" s="6">
        <f>D109/D106*100</f>
        <v>0.18132174608775972</v>
      </c>
      <c r="F109" s="6">
        <f>D109/B109*100</f>
        <v>23.855370132648694</v>
      </c>
      <c r="G109" s="6">
        <f t="shared" si="12"/>
        <v>12.336800177030318</v>
      </c>
      <c r="H109" s="6">
        <f t="shared" si="16"/>
        <v>355.9</v>
      </c>
      <c r="I109" s="6">
        <f t="shared" si="14"/>
        <v>792.3</v>
      </c>
    </row>
    <row r="110" spans="1:9" s="44" customFormat="1" ht="34.5" customHeight="1">
      <c r="A110" s="17" t="s">
        <v>75</v>
      </c>
      <c r="B110" s="80">
        <v>51.1</v>
      </c>
      <c r="C110" s="60">
        <f>71.8+12.8</f>
        <v>84.6</v>
      </c>
      <c r="D110" s="83">
        <f>5.3+5.3+0.5+1.7+6</f>
        <v>18.799999999999997</v>
      </c>
      <c r="E110" s="6">
        <f>D110/D106*100</f>
        <v>0.030572635214797153</v>
      </c>
      <c r="F110" s="6">
        <f t="shared" si="15"/>
        <v>36.790606653620344</v>
      </c>
      <c r="G110" s="6">
        <f t="shared" si="12"/>
        <v>22.22222222222222</v>
      </c>
      <c r="H110" s="6">
        <f t="shared" si="16"/>
        <v>32.300000000000004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33.6</v>
      </c>
      <c r="C112" s="68">
        <v>67.4</v>
      </c>
      <c r="D112" s="79">
        <f>5.5+5.4+5.5+5.5+5.5</f>
        <v>27.4</v>
      </c>
      <c r="E112" s="6">
        <f>D112/D106*100</f>
        <v>0.04455798962156606</v>
      </c>
      <c r="F112" s="6">
        <f t="shared" si="15"/>
        <v>81.54761904761904</v>
      </c>
      <c r="G112" s="6">
        <f t="shared" si="12"/>
        <v>40.65281899109792</v>
      </c>
      <c r="H112" s="6">
        <f t="shared" si="16"/>
        <v>6.200000000000003</v>
      </c>
      <c r="I112" s="6">
        <f t="shared" si="14"/>
        <v>40.00000000000001</v>
      </c>
    </row>
    <row r="113" spans="1:9" ht="37.5">
      <c r="A113" s="17" t="s">
        <v>47</v>
      </c>
      <c r="B113" s="80">
        <v>805</v>
      </c>
      <c r="C113" s="68">
        <v>1532.5</v>
      </c>
      <c r="D113" s="79">
        <f>96.4+0.6+6.3+86+10.4+21.5+5.3+0.1+11.6+102.1+10.6+3.5+5.6+100.7+13.3+0.9+3.6+96.9-0.1</f>
        <v>575.3000000000001</v>
      </c>
      <c r="E113" s="6">
        <f>D113/D106*100</f>
        <v>0.9355551616528087</v>
      </c>
      <c r="F113" s="6">
        <f t="shared" si="15"/>
        <v>71.46583850931678</v>
      </c>
      <c r="G113" s="6">
        <f t="shared" si="12"/>
        <v>37.539967373572594</v>
      </c>
      <c r="H113" s="6">
        <f t="shared" si="16"/>
        <v>229.69999999999993</v>
      </c>
      <c r="I113" s="6">
        <f t="shared" si="14"/>
        <v>957.1999999999999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0.058543344028334984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</f>
        <v>19.1</v>
      </c>
      <c r="E116" s="6">
        <f>D116/D106*100</f>
        <v>0.031060496415033285</v>
      </c>
      <c r="F116" s="6">
        <f>D116/B116*100</f>
        <v>9.710218607015761</v>
      </c>
      <c r="G116" s="6">
        <f t="shared" si="12"/>
        <v>7.789559543230016</v>
      </c>
      <c r="H116" s="6">
        <f t="shared" si="16"/>
        <v>177.6</v>
      </c>
      <c r="I116" s="6">
        <f t="shared" si="14"/>
        <v>226.1</v>
      </c>
    </row>
    <row r="117" spans="1:9" s="2" customFormat="1" ht="18.75">
      <c r="A117" s="17" t="s">
        <v>16</v>
      </c>
      <c r="B117" s="80">
        <v>114.5</v>
      </c>
      <c r="C117" s="60">
        <f>199.6+4.8</f>
        <v>204.4</v>
      </c>
      <c r="D117" s="79">
        <f>1.6+18.3+17.8+0.8+2.2+4+0.6+16.7+3.7+3.6+16.7+3.4+1.3+16.7</f>
        <v>107.4</v>
      </c>
      <c r="E117" s="6">
        <f>D117/D106*100</f>
        <v>0.1746543096845327</v>
      </c>
      <c r="F117" s="6">
        <f t="shared" si="15"/>
        <v>93.7991266375546</v>
      </c>
      <c r="G117" s="6">
        <f t="shared" si="12"/>
        <v>52.544031311154605</v>
      </c>
      <c r="H117" s="6">
        <f t="shared" si="16"/>
        <v>7.099999999999994</v>
      </c>
      <c r="I117" s="6">
        <f t="shared" si="14"/>
        <v>97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16.7+16.7+16.7+16.7+16.7</f>
        <v>83.5</v>
      </c>
      <c r="E118" s="1"/>
      <c r="F118" s="1">
        <f t="shared" si="15"/>
        <v>99.88038277511963</v>
      </c>
      <c r="G118" s="1">
        <f t="shared" si="12"/>
        <v>55.37135278514589</v>
      </c>
      <c r="H118" s="1">
        <f t="shared" si="16"/>
        <v>0.09999999999999432</v>
      </c>
      <c r="I118" s="1">
        <f t="shared" si="14"/>
        <v>67.30000000000001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</f>
        <v>249.6</v>
      </c>
      <c r="E119" s="6">
        <f>D119/D106*100</f>
        <v>0.4059005185964558</v>
      </c>
      <c r="F119" s="6">
        <f t="shared" si="15"/>
        <v>25.87601078167116</v>
      </c>
      <c r="G119" s="6">
        <f t="shared" si="12"/>
        <v>14.52513966480447</v>
      </c>
      <c r="H119" s="6">
        <f t="shared" si="16"/>
        <v>715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</f>
        <v>663.6</v>
      </c>
      <c r="E120" s="19">
        <f>D120/D106*100</f>
        <v>1.079148974922308</v>
      </c>
      <c r="F120" s="6">
        <f t="shared" si="15"/>
        <v>53.45577573707104</v>
      </c>
      <c r="G120" s="6">
        <f t="shared" si="12"/>
        <v>53.04556354916067</v>
      </c>
      <c r="H120" s="6">
        <f t="shared" si="16"/>
        <v>577.8000000000001</v>
      </c>
      <c r="I120" s="6">
        <f t="shared" si="14"/>
        <v>587.4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1263.9</v>
      </c>
      <c r="C123" s="60">
        <v>2933.8</v>
      </c>
      <c r="D123" s="83">
        <f>21+0.9+174.2+5+11.4+16.5-0.1</f>
        <v>228.9</v>
      </c>
      <c r="E123" s="19">
        <f>D123/D106*100</f>
        <v>0.3722380957801632</v>
      </c>
      <c r="F123" s="6">
        <f t="shared" si="15"/>
        <v>18.11061001661524</v>
      </c>
      <c r="G123" s="6">
        <f t="shared" si="12"/>
        <v>7.802167836935032</v>
      </c>
      <c r="H123" s="6">
        <f t="shared" si="16"/>
        <v>1035</v>
      </c>
      <c r="I123" s="6">
        <f t="shared" si="14"/>
        <v>2704.9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0.21124389970224206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0.0032524080015741653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99.5</v>
      </c>
      <c r="C127" s="60">
        <f>101.4+27.9</f>
        <v>129.3</v>
      </c>
      <c r="D127" s="83">
        <f>3+3+4.9+21.9-0.1+12.2+1.6+6.9+7.8+0.7+8.4+2.4+5+2.4+0.1</f>
        <v>80.2</v>
      </c>
      <c r="E127" s="19">
        <f>D127/D106*100</f>
        <v>0.13042156086312404</v>
      </c>
      <c r="F127" s="6">
        <f t="shared" si="15"/>
        <v>80.60301507537689</v>
      </c>
      <c r="G127" s="6">
        <f t="shared" si="12"/>
        <v>62.02629543696829</v>
      </c>
      <c r="H127" s="6">
        <f t="shared" si="16"/>
        <v>19.299999999999997</v>
      </c>
      <c r="I127" s="6">
        <f t="shared" si="14"/>
        <v>49.10000000000001</v>
      </c>
    </row>
    <row r="128" spans="1:9" s="2" customFormat="1" ht="18.75">
      <c r="A128" s="17" t="s">
        <v>72</v>
      </c>
      <c r="B128" s="80">
        <v>327.8</v>
      </c>
      <c r="C128" s="60">
        <v>650</v>
      </c>
      <c r="D128" s="83">
        <f>8.7+23.6+6.2+5.1+38.5+4.6+4.8+8.6+12.9+2.8+0.1</f>
        <v>115.89999999999998</v>
      </c>
      <c r="E128" s="19">
        <f>D128/D106*100</f>
        <v>0.18847704369122284</v>
      </c>
      <c r="F128" s="6">
        <f t="shared" si="15"/>
        <v>35.356924954240384</v>
      </c>
      <c r="G128" s="6">
        <f t="shared" si="12"/>
        <v>17.830769230769228</v>
      </c>
      <c r="H128" s="6">
        <f t="shared" si="16"/>
        <v>211.90000000000003</v>
      </c>
      <c r="I128" s="6">
        <f t="shared" si="14"/>
        <v>534.1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</f>
        <v>17.900000000000002</v>
      </c>
      <c r="E129" s="19">
        <f>D129/D106*100</f>
        <v>0.029109051614088784</v>
      </c>
      <c r="F129" s="6">
        <f t="shared" si="15"/>
        <v>29.105691056910572</v>
      </c>
      <c r="G129" s="6">
        <f t="shared" si="12"/>
        <v>23.46002621231979</v>
      </c>
      <c r="H129" s="6">
        <f t="shared" si="16"/>
        <v>43.599999999999994</v>
      </c>
      <c r="I129" s="6">
        <f t="shared" si="14"/>
        <v>58.400000000000006</v>
      </c>
    </row>
    <row r="130" spans="1:9" s="2" customFormat="1" ht="35.25" customHeight="1">
      <c r="A130" s="17" t="s">
        <v>73</v>
      </c>
      <c r="B130" s="80">
        <v>20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20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</f>
        <v>67.5</v>
      </c>
      <c r="E131" s="19">
        <f>D131/D106*100</f>
        <v>0.10976877005312807</v>
      </c>
      <c r="F131" s="6">
        <f t="shared" si="15"/>
        <v>25.462089777442472</v>
      </c>
      <c r="G131" s="6">
        <f>D131/C131*100</f>
        <v>25.462089777442472</v>
      </c>
      <c r="H131" s="6">
        <f t="shared" si="16"/>
        <v>197.60000000000002</v>
      </c>
      <c r="I131" s="6">
        <f t="shared" si="14"/>
        <v>197.60000000000002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</f>
        <v>7.6</v>
      </c>
      <c r="E132" s="1"/>
      <c r="F132" s="1">
        <f t="shared" si="15"/>
        <v>11.838006230529594</v>
      </c>
      <c r="G132" s="1">
        <f>D132/C132*100</f>
        <v>11.838006230529594</v>
      </c>
      <c r="H132" s="1">
        <f t="shared" si="16"/>
        <v>56.6</v>
      </c>
      <c r="I132" s="1">
        <f t="shared" si="14"/>
        <v>56.6</v>
      </c>
    </row>
    <row r="133" spans="1:9" s="2" customFormat="1" ht="18.75">
      <c r="A133" s="17" t="s">
        <v>32</v>
      </c>
      <c r="B133" s="80">
        <v>499.1</v>
      </c>
      <c r="C133" s="60">
        <f>981.9+3.8</f>
        <v>985.6999999999999</v>
      </c>
      <c r="D133" s="83">
        <f>21.9+41.8+0.1+6.1+26+3.6+0.1+41-0.1+21.3+6.2+7.1+43.4+4.5+8.8+48.5+7.5+32.1+0.1+41.9+8.4+5.1+33.1</f>
        <v>408.5</v>
      </c>
      <c r="E133" s="19">
        <f>D133/D106*100</f>
        <v>0.6643043343215232</v>
      </c>
      <c r="F133" s="6">
        <f t="shared" si="15"/>
        <v>81.8473251853336</v>
      </c>
      <c r="G133" s="6">
        <f t="shared" si="12"/>
        <v>41.44262960332759</v>
      </c>
      <c r="H133" s="6">
        <f t="shared" si="16"/>
        <v>90.60000000000002</v>
      </c>
      <c r="I133" s="6">
        <f t="shared" si="14"/>
        <v>577.1999999999999</v>
      </c>
    </row>
    <row r="134" spans="1:9" s="39" customFormat="1" ht="18">
      <c r="A134" s="40" t="s">
        <v>54</v>
      </c>
      <c r="B134" s="81">
        <v>423.1</v>
      </c>
      <c r="C134" s="51">
        <v>848.7</v>
      </c>
      <c r="D134" s="82">
        <f>21.9+39.7+0.1+6.1+19+41-0.1+21.3+43.3+8.5+32.3+32.1+41.5+4.2+33.1</f>
        <v>344.00000000000006</v>
      </c>
      <c r="E134" s="1">
        <f>D134/D133*100</f>
        <v>84.2105263157895</v>
      </c>
      <c r="F134" s="1">
        <f aca="true" t="shared" si="17" ref="F134:F141">D134/B134*100</f>
        <v>81.30465610966675</v>
      </c>
      <c r="G134" s="1">
        <f t="shared" si="12"/>
        <v>40.53257923883587</v>
      </c>
      <c r="H134" s="1">
        <f t="shared" si="16"/>
        <v>79.09999999999997</v>
      </c>
      <c r="I134" s="1">
        <f t="shared" si="14"/>
        <v>504.7</v>
      </c>
    </row>
    <row r="135" spans="1:9" s="39" customFormat="1" ht="18">
      <c r="A135" s="29" t="s">
        <v>33</v>
      </c>
      <c r="B135" s="81">
        <v>21.5</v>
      </c>
      <c r="C135" s="51">
        <v>26.3</v>
      </c>
      <c r="D135" s="82">
        <f>7+6+0.2+7.1+0.1+0.4</f>
        <v>20.799999999999997</v>
      </c>
      <c r="E135" s="1">
        <f>D135/D133*100</f>
        <v>5.091799265605874</v>
      </c>
      <c r="F135" s="1">
        <f t="shared" si="17"/>
        <v>96.74418604651162</v>
      </c>
      <c r="G135" s="1">
        <f>D135/C135*100</f>
        <v>79.08745247148288</v>
      </c>
      <c r="H135" s="1">
        <f t="shared" si="16"/>
        <v>0.7000000000000028</v>
      </c>
      <c r="I135" s="1">
        <f t="shared" si="14"/>
        <v>5.5000000000000036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2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v>1850</v>
      </c>
      <c r="C137" s="60">
        <f>6500-2076</f>
        <v>4424</v>
      </c>
      <c r="D137" s="83">
        <f>241.3</f>
        <v>241.3</v>
      </c>
      <c r="E137" s="19">
        <f>D137/D106*100</f>
        <v>0.3924030253899231</v>
      </c>
      <c r="F137" s="112">
        <f t="shared" si="17"/>
        <v>13.043243243243245</v>
      </c>
      <c r="G137" s="6">
        <f t="shared" si="12"/>
        <v>5.454339963833635</v>
      </c>
      <c r="H137" s="6">
        <f t="shared" si="16"/>
        <v>1608.7</v>
      </c>
      <c r="I137" s="6">
        <f t="shared" si="14"/>
        <v>4182.7</v>
      </c>
    </row>
    <row r="138" spans="1:9" s="2" customFormat="1" ht="18.75">
      <c r="A138" s="23" t="s">
        <v>111</v>
      </c>
      <c r="B138" s="80">
        <v>2994.8</v>
      </c>
      <c r="C138" s="60">
        <v>6082.6</v>
      </c>
      <c r="D138" s="83">
        <f>626.1+43.8+40.3+236+112.9+11.4-0.1</f>
        <v>1070.4</v>
      </c>
      <c r="E138" s="19">
        <f>D138/D106*100</f>
        <v>1.7406887624424934</v>
      </c>
      <c r="F138" s="112">
        <f t="shared" si="17"/>
        <v>35.741952718044615</v>
      </c>
      <c r="G138" s="6">
        <f t="shared" si="12"/>
        <v>17.597737809489363</v>
      </c>
      <c r="H138" s="6">
        <f t="shared" si="16"/>
        <v>1924.4</v>
      </c>
      <c r="I138" s="6">
        <f t="shared" si="14"/>
        <v>5012.200000000001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6.8105423552963025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0.875222993223608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45834.8</v>
      </c>
      <c r="C141" s="60">
        <f>91632.1+2530</f>
        <v>94162.1</v>
      </c>
      <c r="D141" s="83">
        <f>500.9+20883.8+13804+7506.8</f>
        <v>42695.5</v>
      </c>
      <c r="E141" s="19">
        <f>D141/D106*100</f>
        <v>69.4315929156049</v>
      </c>
      <c r="F141" s="6">
        <f t="shared" si="17"/>
        <v>93.15083735502282</v>
      </c>
      <c r="G141" s="6">
        <f t="shared" si="12"/>
        <v>45.34255289548555</v>
      </c>
      <c r="H141" s="6">
        <f t="shared" si="16"/>
        <v>3139.300000000003</v>
      </c>
      <c r="I141" s="6">
        <f t="shared" si="14"/>
        <v>51466.600000000006</v>
      </c>
      <c r="K141" s="103"/>
      <c r="L141" s="45"/>
    </row>
    <row r="142" spans="1:12" s="2" customFormat="1" ht="18.75">
      <c r="A142" s="17" t="s">
        <v>103</v>
      </c>
      <c r="B142" s="80">
        <v>11131.8</v>
      </c>
      <c r="C142" s="60">
        <v>22263.4</v>
      </c>
      <c r="D142" s="83">
        <f>1236.9+618.4+618.4+618.4+618.5+618.4+618.4+618.5+618.4+618.4+618.5+618.4+618.4+618.5</f>
        <v>9276.499999999998</v>
      </c>
      <c r="E142" s="19">
        <f>D142/D106*100</f>
        <v>15.085481413301368</v>
      </c>
      <c r="F142" s="6">
        <f t="shared" si="15"/>
        <v>83.33333333333333</v>
      </c>
      <c r="G142" s="6">
        <f t="shared" si="12"/>
        <v>41.66704097307688</v>
      </c>
      <c r="H142" s="6">
        <f t="shared" si="16"/>
        <v>1855.300000000001</v>
      </c>
      <c r="I142" s="6">
        <f t="shared" si="14"/>
        <v>12986.900000000003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80109.8</v>
      </c>
      <c r="C143" s="84">
        <f>C43+C68+C71+C76+C78+C86+C101+C106+C99+C83+C97</f>
        <v>162401.3</v>
      </c>
      <c r="D143" s="60">
        <f>D43+D68+D71+D76+D78+D86+D101+D106+D99+D83+D97</f>
        <v>64187.9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468272.7</v>
      </c>
      <c r="C144" s="54">
        <f>C6+C18+C33+C43+C51+C58+C68+C71+C76+C78+C86+C89+C94+C101+C106+C99+C83+C97+C45</f>
        <v>896182.6</v>
      </c>
      <c r="D144" s="54">
        <f>D6+D18+D33+D43+D51+D58+D68+D71+D76+D78+D86+D89+D94+D101+D106+D99+D83+D97+D45</f>
        <v>362810.5</v>
      </c>
      <c r="E144" s="38">
        <v>100</v>
      </c>
      <c r="F144" s="3">
        <f>D144/B144*100</f>
        <v>77.47846500554057</v>
      </c>
      <c r="G144" s="3">
        <f aca="true" t="shared" si="18" ref="G144:G150">D144/C144*100</f>
        <v>40.48399288270047</v>
      </c>
      <c r="H144" s="3">
        <f aca="true" t="shared" si="19" ref="H144:H150">B144-D144</f>
        <v>105462.20000000001</v>
      </c>
      <c r="I144" s="3">
        <f aca="true" t="shared" si="20" ref="I144:I150">C144-D144</f>
        <v>533372.1</v>
      </c>
      <c r="K144" s="46"/>
      <c r="L144" s="47"/>
    </row>
    <row r="145" spans="1:12" ht="18.75">
      <c r="A145" s="23" t="s">
        <v>5</v>
      </c>
      <c r="B145" s="67">
        <f>B8+B20+B34+B52+B59+B90+B114+B118+B46+B134</f>
        <v>270378.19999999995</v>
      </c>
      <c r="C145" s="67">
        <f>C8+C20+C34+C52+C59+C90+C114+C118+C46+C134</f>
        <v>507335.6</v>
      </c>
      <c r="D145" s="67">
        <f>D8+D20+D34+D52+D59+D90+D114+D118+D46+D134</f>
        <v>205127.29999999993</v>
      </c>
      <c r="E145" s="6">
        <f>D145/D144*100</f>
        <v>56.53841330391484</v>
      </c>
      <c r="F145" s="6">
        <f aca="true" t="shared" si="21" ref="F145:F156">D145/B145*100</f>
        <v>75.86680435035072</v>
      </c>
      <c r="G145" s="6">
        <f t="shared" si="18"/>
        <v>40.43227007921383</v>
      </c>
      <c r="H145" s="6">
        <f t="shared" si="19"/>
        <v>65250.90000000002</v>
      </c>
      <c r="I145" s="18">
        <f t="shared" si="20"/>
        <v>302208.30000000005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53486.59999999999</v>
      </c>
      <c r="C146" s="68">
        <f>C11+C23+C36+C55+C61+C91+C49+C135+C108+C111+C95+C132</f>
        <v>99330.7</v>
      </c>
      <c r="D146" s="68">
        <f>D11+D23+D36+D55+D61+D91+D49+D135+D108+D111+D95+D132</f>
        <v>46825.799999999996</v>
      </c>
      <c r="E146" s="6">
        <f>D146/D144*100</f>
        <v>12.906407063742641</v>
      </c>
      <c r="F146" s="6">
        <f t="shared" si="21"/>
        <v>87.54678741965279</v>
      </c>
      <c r="G146" s="6">
        <f t="shared" si="18"/>
        <v>47.14131683356706</v>
      </c>
      <c r="H146" s="6">
        <f t="shared" si="19"/>
        <v>6660.799999999996</v>
      </c>
      <c r="I146" s="18">
        <f t="shared" si="20"/>
        <v>52504.9</v>
      </c>
      <c r="K146" s="46"/>
      <c r="L146" s="102"/>
    </row>
    <row r="147" spans="1:12" ht="18.75">
      <c r="A147" s="23" t="s">
        <v>1</v>
      </c>
      <c r="B147" s="67">
        <f>B22+B10+B54+B48+B60+B35+B102+B122</f>
        <v>11739.8</v>
      </c>
      <c r="C147" s="67">
        <f>C22+C10+C54+C48+C60+C35+C102+C122</f>
        <v>25686.8</v>
      </c>
      <c r="D147" s="67">
        <f>D22+D10+D54+D48+D60+D35+D102+D122</f>
        <v>8808.2</v>
      </c>
      <c r="E147" s="6">
        <f>D147/D144*100</f>
        <v>2.427768766339453</v>
      </c>
      <c r="F147" s="6">
        <f t="shared" si="21"/>
        <v>75.02853540946184</v>
      </c>
      <c r="G147" s="6">
        <f t="shared" si="18"/>
        <v>34.290764127878916</v>
      </c>
      <c r="H147" s="6">
        <f t="shared" si="19"/>
        <v>2931.5999999999985</v>
      </c>
      <c r="I147" s="18">
        <f t="shared" si="20"/>
        <v>16878.6</v>
      </c>
      <c r="K147" s="46"/>
      <c r="L147" s="47"/>
    </row>
    <row r="148" spans="1:12" ht="21" customHeight="1">
      <c r="A148" s="23" t="s">
        <v>15</v>
      </c>
      <c r="B148" s="67">
        <f>B12+B24+B103+B62+B38+B92</f>
        <v>7102.3</v>
      </c>
      <c r="C148" s="67">
        <f>C12+C24+C103+C62+C38+C92</f>
        <v>14593.8</v>
      </c>
      <c r="D148" s="67">
        <f>D12+D24+D103+D62+D38+D92</f>
        <v>2697.8999999999996</v>
      </c>
      <c r="E148" s="6">
        <f>D148/D144*100</f>
        <v>0.7436113342915929</v>
      </c>
      <c r="F148" s="6">
        <f t="shared" si="21"/>
        <v>37.98628613266125</v>
      </c>
      <c r="G148" s="6">
        <f t="shared" si="18"/>
        <v>18.486617604736256</v>
      </c>
      <c r="H148" s="6">
        <f t="shared" si="19"/>
        <v>4404.400000000001</v>
      </c>
      <c r="I148" s="18">
        <f t="shared" si="20"/>
        <v>11895.9</v>
      </c>
      <c r="K148" s="46"/>
      <c r="L148" s="102"/>
    </row>
    <row r="149" spans="1:12" ht="18.75">
      <c r="A149" s="23" t="s">
        <v>2</v>
      </c>
      <c r="B149" s="67">
        <f>B9+B21+B47+B53+B121</f>
        <v>5090.9</v>
      </c>
      <c r="C149" s="67">
        <f>C9+C21+C47+C53+C121</f>
        <v>12618.400000000001</v>
      </c>
      <c r="D149" s="67">
        <f>D9+D21+D47+D53+D121</f>
        <v>2752.3999999999996</v>
      </c>
      <c r="E149" s="6">
        <f>D149/D144*100</f>
        <v>0.7586329502591572</v>
      </c>
      <c r="F149" s="6">
        <f t="shared" si="21"/>
        <v>54.06509654481525</v>
      </c>
      <c r="G149" s="6">
        <f t="shared" si="18"/>
        <v>21.812591136752673</v>
      </c>
      <c r="H149" s="6">
        <f t="shared" si="19"/>
        <v>2338.5</v>
      </c>
      <c r="I149" s="18">
        <f t="shared" si="20"/>
        <v>9866.000000000002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120474.9000000001</v>
      </c>
      <c r="C150" s="67">
        <f>C144-C145-C146-C147-C148-C149</f>
        <v>236617.30000000002</v>
      </c>
      <c r="D150" s="67">
        <f>D144-D145-D146-D147-D148-D149</f>
        <v>96598.9000000001</v>
      </c>
      <c r="E150" s="6">
        <f>D150/D144*100</f>
        <v>26.625166581452326</v>
      </c>
      <c r="F150" s="6">
        <f t="shared" si="21"/>
        <v>80.18176400229426</v>
      </c>
      <c r="G150" s="43">
        <f t="shared" si="18"/>
        <v>40.824952359781</v>
      </c>
      <c r="H150" s="6">
        <f t="shared" si="19"/>
        <v>23876</v>
      </c>
      <c r="I150" s="6">
        <f t="shared" si="20"/>
        <v>140018.3999999999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9182.9</v>
      </c>
      <c r="C152" s="73">
        <f>3301.9+496+14356.4</f>
        <v>18154.3</v>
      </c>
      <c r="D152" s="73">
        <f>288.1+1522.4+951.8+530.2+8.8+0.5+0.1+495.9</f>
        <v>3797.8</v>
      </c>
      <c r="E152" s="15"/>
      <c r="F152" s="6">
        <f t="shared" si="21"/>
        <v>41.35730542639036</v>
      </c>
      <c r="G152" s="6">
        <f aca="true" t="shared" si="22" ref="G152:G161">D152/C152*100</f>
        <v>20.919561756718796</v>
      </c>
      <c r="H152" s="6">
        <f>B152-D152</f>
        <v>5385.099999999999</v>
      </c>
      <c r="I152" s="6">
        <f aca="true" t="shared" si="23" ref="I152:I161">C152-D152</f>
        <v>14356.5</v>
      </c>
      <c r="K152" s="46"/>
      <c r="L152" s="46"/>
    </row>
    <row r="153" spans="1:12" ht="18.75">
      <c r="A153" s="23" t="s">
        <v>22</v>
      </c>
      <c r="B153" s="88">
        <v>6661.8</v>
      </c>
      <c r="C153" s="67">
        <f>16860.5</f>
        <v>16860.5</v>
      </c>
      <c r="D153" s="67">
        <f>132.1</f>
        <v>132.1</v>
      </c>
      <c r="E153" s="6"/>
      <c r="F153" s="6">
        <f t="shared" si="21"/>
        <v>1.9829475517127504</v>
      </c>
      <c r="G153" s="6">
        <f t="shared" si="22"/>
        <v>0.7834880341626879</v>
      </c>
      <c r="H153" s="6">
        <f aca="true" t="shared" si="24" ref="H153:H160">B153-D153</f>
        <v>6529.7</v>
      </c>
      <c r="I153" s="6">
        <f t="shared" si="23"/>
        <v>16728.4</v>
      </c>
      <c r="K153" s="46"/>
      <c r="L153" s="46"/>
    </row>
    <row r="154" spans="1:12" ht="18.75">
      <c r="A154" s="23" t="s">
        <v>61</v>
      </c>
      <c r="B154" s="88">
        <v>73330</v>
      </c>
      <c r="C154" s="67">
        <f>105956.2+2530+90940.5</f>
        <v>199426.7</v>
      </c>
      <c r="D154" s="67">
        <f>72+2507+500.9+784.3+577.6+1236.9+2501.8+375+180.7+310.2-4.2+554.9+23.5+182.4+693.6-182.4+595+297.2+620.2+157.1-0.3+15.6+883.3+9.6</f>
        <v>12891.900000000003</v>
      </c>
      <c r="E154" s="6"/>
      <c r="F154" s="6">
        <f t="shared" si="21"/>
        <v>17.58066275739807</v>
      </c>
      <c r="G154" s="6">
        <f t="shared" si="22"/>
        <v>6.464480433161659</v>
      </c>
      <c r="H154" s="6">
        <f t="shared" si="24"/>
        <v>60438.1</v>
      </c>
      <c r="I154" s="6">
        <f t="shared" si="23"/>
        <v>186534.80000000002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2417.4</v>
      </c>
      <c r="C156" s="67">
        <f>54+13623.4</f>
        <v>13677.4</v>
      </c>
      <c r="D156" s="67">
        <f>5.2+5.1+225.1+114.9+40.2</f>
        <v>390.5</v>
      </c>
      <c r="E156" s="19"/>
      <c r="F156" s="6">
        <f t="shared" si="21"/>
        <v>16.15371887151485</v>
      </c>
      <c r="G156" s="6">
        <f t="shared" si="22"/>
        <v>2.855074794917163</v>
      </c>
      <c r="H156" s="6">
        <f t="shared" si="24"/>
        <v>2026.9</v>
      </c>
      <c r="I156" s="6">
        <f t="shared" si="23"/>
        <v>13286.9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15.4+25.9+416.9-0.1</f>
        <v>458.09999999999997</v>
      </c>
      <c r="E158" s="19"/>
      <c r="F158" s="6">
        <f>D158/B158*100</f>
        <v>77.17318059299191</v>
      </c>
      <c r="G158" s="6">
        <f t="shared" si="22"/>
        <v>33.42331825477893</v>
      </c>
      <c r="H158" s="6">
        <f t="shared" si="24"/>
        <v>135.50000000000006</v>
      </c>
      <c r="I158" s="6">
        <f t="shared" si="23"/>
        <v>912.5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</f>
        <v>482.90000000000003</v>
      </c>
      <c r="E160" s="24"/>
      <c r="F160" s="6">
        <f>D160/B160*100</f>
        <v>12.98537162525546</v>
      </c>
      <c r="G160" s="6">
        <f t="shared" si="22"/>
        <v>12.98537162525546</v>
      </c>
      <c r="H160" s="6">
        <f t="shared" si="24"/>
        <v>3235.9</v>
      </c>
      <c r="I160" s="6">
        <f t="shared" si="23"/>
        <v>3235.9</v>
      </c>
    </row>
    <row r="161" spans="1:9" ht="19.5" thickBot="1">
      <c r="A161" s="14" t="s">
        <v>20</v>
      </c>
      <c r="B161" s="90">
        <f>B144+B152+B156+B157+B153+B160+B159+B154+B158+B155</f>
        <v>564794.2</v>
      </c>
      <c r="C161" s="90">
        <f>C144+C152+C156+C157+C153+C160+C159+C154+C158+C155</f>
        <v>1150207.9000000001</v>
      </c>
      <c r="D161" s="90">
        <f>D144+D152+D156+D157+D153+D160+D159+D154+D158+D155</f>
        <v>381273.2</v>
      </c>
      <c r="E161" s="25"/>
      <c r="F161" s="3">
        <f>D161/B161*100</f>
        <v>67.50657142017394</v>
      </c>
      <c r="G161" s="3">
        <f t="shared" si="22"/>
        <v>33.14819868651571</v>
      </c>
      <c r="H161" s="3">
        <f>B161-D161</f>
        <v>183520.99999999994</v>
      </c>
      <c r="I161" s="3">
        <f t="shared" si="23"/>
        <v>768934.7000000002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362810.5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362810.5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2015-05-29T12:31:40Z</cp:lastPrinted>
  <dcterms:created xsi:type="dcterms:W3CDTF">2000-06-20T04:48:00Z</dcterms:created>
  <dcterms:modified xsi:type="dcterms:W3CDTF">2015-06-02T07:42:41Z</dcterms:modified>
  <cp:category/>
  <cp:version/>
  <cp:contentType/>
  <cp:contentStatus/>
</cp:coreProperties>
</file>